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Calculator" sheetId="1" r:id="rId1"/>
    <sheet name="Materials" sheetId="2" r:id="rId2"/>
    <sheet name="Options" sheetId="3" r:id="rId3"/>
  </sheets>
  <definedNames>
    <definedName name="_xlnm.Print_Area" localSheetId="0">'Calculator'!$A$1:$D$85</definedName>
    <definedName name="HseWd">'Calculator'!$C$16</definedName>
    <definedName name="HseLn">'Calculator'!$C$17</definedName>
    <definedName name="FlrHt">'Calculator'!$C$19</definedName>
    <definedName name="FlrNo">'Calculator'!$C$20</definedName>
    <definedName name="HseHt">'Calculator'!$C$21</definedName>
    <definedName name="HseVol">'Calculator'!$C$22</definedName>
    <definedName name="FlrArea">'Calculator'!$C$18</definedName>
    <definedName name="ExtThick">'Calculator'!$C$23</definedName>
    <definedName name="PartFac">'Calculator'!$C$24</definedName>
    <definedName name="HseCost">'Calculator'!$C$28</definedName>
    <definedName name="HseMat">'Calculator'!$C$25</definedName>
    <definedName name="MatCost">'Calculator'!$C$26</definedName>
    <definedName name="Material">'Materials'!$A$2:$A$8</definedName>
    <definedName name="Cost">'Materials'!$B$2:$B$8</definedName>
    <definedName name="TL">'Materials'!$C$2:$C$8</definedName>
    <definedName name="Weight">'Materials'!$D$2:$D$8</definedName>
    <definedName name="DR">'Materials'!$E$2:$E$8</definedName>
    <definedName name="MatWgt">'Calculator'!$C$27</definedName>
    <definedName name="HseWgtLB">'Calculator'!$C$29</definedName>
    <definedName name="HseWgt">'Calculator'!$C$30</definedName>
    <definedName name="Qmat">'Calculator'!$C$43</definedName>
    <definedName name="Qlab">'Calculator'!$C$38</definedName>
    <definedName name="QlabHT">'Calculator'!$C$39</definedName>
    <definedName name="QlabDR">'Calculator'!$C$40</definedName>
    <definedName name="QlabHP">'Calculator'!$C$41</definedName>
    <definedName name="QlabCF">'Calculator'!$C$42</definedName>
    <definedName name="QmatHT">'Calculator'!$C$44</definedName>
    <definedName name="QmatDR">'Calculator'!$C$45</definedName>
    <definedName name="QmatHP">'Calculator'!$C$46</definedName>
    <definedName name="QmatCF">'Calculator'!$C$47</definedName>
    <definedName name="Masonry">'Calculator'!$C$55</definedName>
    <definedName name="MasonryFullName">'Calculator'!$D$55</definedName>
    <definedName name="TilingFloors">'Calculator'!$C$70</definedName>
    <definedName name="TilingRoof">'Calculator'!$C$71</definedName>
    <definedName name="TilingWalls">'Calculator'!$C$72</definedName>
    <definedName name="MasonryHT">'Calculator'!$C$56</definedName>
    <definedName name="MasonryDR">'Calculator'!$C$57</definedName>
    <definedName name="MasonryCF">'Calculator'!$C$59</definedName>
    <definedName name="MasonryHP">'Calculator'!$C$58</definedName>
    <definedName name="MasonryWgt">'Calculator'!$C$60</definedName>
    <definedName name="MasonryTL">'Calculator'!$C$61</definedName>
    <definedName name="TilingCost">'Calculator'!$C$73</definedName>
    <definedName name="TilingWgt">'Calculator'!$C$74</definedName>
    <definedName name="TilingTL">'Calculator'!$C$75</definedName>
    <definedName name="Mortar">'Calculator'!$C$48</definedName>
    <definedName name="Tiling">'Calculator'!$C$69</definedName>
    <definedName name="Heating">'Calculator'!$C$62</definedName>
    <definedName name="MortarHT">'Calculator'!$C$49</definedName>
    <definedName name="MortarDR">'Calculator'!$C$50</definedName>
    <definedName name="MortarHP">'Calculator'!$C$51</definedName>
    <definedName name="MortarCF">'Calculator'!$C$52</definedName>
    <definedName name="MortarWgt">'Calculator'!$C$53</definedName>
    <definedName name="MortarTL">'Calculator'!$C$54</definedName>
    <definedName name="HeatingHT">'Calculator'!$C$63</definedName>
    <definedName name="HeatingDR">'Calculator'!$C$64</definedName>
    <definedName name="HeatingHP">'Calculator'!$C$65</definedName>
    <definedName name="HeatingCF">'Calculator'!$C$66</definedName>
    <definedName name="HeatingWgt">'Calculator'!$C$67</definedName>
    <definedName name="HeatingTL">'Calculator'!$C$68</definedName>
    <definedName name="HseHP">'Calculator'!$C$31</definedName>
    <definedName name="HseTL">'Calculator'!$C$34</definedName>
    <definedName name="FinalHseCost">'Calculator'!$C$78</definedName>
    <definedName name="FinalHseWgtLB">'Calculator'!$C$79</definedName>
    <definedName name="FinalHseWgt">'Calculator'!$C$80</definedName>
    <definedName name="FinalHseHP">'Calculator'!$C$81</definedName>
    <definedName name="HstHT">'Calculator'!$C$32</definedName>
    <definedName name="HseDR">'Calculator'!$C$33</definedName>
    <definedName name="FinalHseDR">'Calculator'!$C$83</definedName>
    <definedName name="FinalTime">'Calculator'!$C$85</definedName>
    <definedName name="FinalHseTL">'Calculator'!$C$84</definedName>
    <definedName name="FinalHseHT">'Calculator'!$C$82</definedName>
    <definedName name="ConstructTime">'Calculator'!$C$35</definedName>
  </definedNames>
  <calcPr fullCalcOnLoad="1"/>
</workbook>
</file>

<file path=xl/sharedStrings.xml><?xml version="1.0" encoding="utf-8"?>
<sst xmlns="http://schemas.openxmlformats.org/spreadsheetml/2006/main" count="278" uniqueCount="214">
  <si>
    <t>cosmogoblin's GURPS Low-Tech House Calculator</t>
  </si>
  <si>
    <t>Created using GURPS Low-Tech Companion (LTC)</t>
  </si>
  <si>
    <t>Design your houses elsewhere.  This is a spreadsheet, not AutoCAD!</t>
  </si>
  <si>
    <t>This spreadsheet would have been a hell of a lot easier if Steve had used metric...</t>
  </si>
  <si>
    <t>LTC uses US imperial units, not UK units (for proof see “Construction Examples”, page 34, which uses 2000 lbs per ton)</t>
  </si>
  <si>
    <t>The cost calculated assumes materials are readily available.  Factor in transport costs, if required, yourself.</t>
  </si>
  <si>
    <t>GRP$ is notation I made up for GURPS standardised currency.</t>
  </si>
  <si>
    <t>“Basic Statistics” contains everything you need unless you change any of the Building Options, in which case refer to the lower “Final Statistics” box.</t>
  </si>
  <si>
    <t>Blue figures should be entered yourself.</t>
  </si>
  <si>
    <t>Green figures are calculated, but should be overwritten if your house (ignoring the roof) is not a cuboid.</t>
  </si>
  <si>
    <t>Red figures are calculated and shouldn't be overwritten.</t>
  </si>
  <si>
    <t>Basic Statistics</t>
  </si>
  <si>
    <t>Width of house (ft)</t>
  </si>
  <si>
    <t>HseWd</t>
  </si>
  <si>
    <t>(as seen from outside the front door)</t>
  </si>
  <si>
    <t>Length of house (ft)</t>
  </si>
  <si>
    <t>HseLn</t>
  </si>
  <si>
    <t>(front to back)</t>
  </si>
  <si>
    <r>
      <t>Floor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</si>
  <si>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FlrArea</t>
  </si>
  <si>
    <t>Height of each floor (ft)</t>
  </si>
  <si>
    <t>FlrHt</t>
  </si>
  <si>
    <t>Number of floors</t>
  </si>
  <si>
    <t>FlrNo</t>
  </si>
  <si>
    <t>Height of house (ft)</t>
  </si>
  <si>
    <t>HseHt</t>
  </si>
  <si>
    <r>
      <t>Volume of house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</si>
  <si>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HseVol</t>
  </si>
  <si>
    <t>Exterior wall thickness (inches)</t>
  </si>
  <si>
    <t>ExtThick</t>
  </si>
  <si>
    <r>
      <t>GURPS LTC has 6” as a minimum for most structures.  My parents' house is 20” including insulation; I assume less would be used in 17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century Caribbean than 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century Guernsey.</t>
    </r>
  </si>
  <si>
    <t>Partition factor</t>
  </si>
  <si>
    <t>PartFac</t>
  </si>
  <si>
    <t>Partition factor is 0.25 for no interior walls, up to a maximum of about 0.42 for stone structures with lots of interior walls.  LTC doesn't go into much more detail; 0.30 is my suggestion for a typical house.</t>
  </si>
  <si>
    <t>Material used</t>
  </si>
  <si>
    <t>HseMat</t>
  </si>
  <si>
    <t>Brick</t>
  </si>
  <si>
    <t>Assuming you use the same material for the whole house.  If you don't, modify the partition factor, but you're on your own with this one!</t>
  </si>
  <si>
    <t>Cost of material used (GRP$)</t>
  </si>
  <si>
    <t>MatCost</t>
  </si>
  <si>
    <t>Weight of material used</t>
  </si>
  <si>
    <t>MatWgt</t>
  </si>
  <si>
    <r>
      <t>pounds per inch of thickness per ft</t>
    </r>
    <r>
      <rPr>
        <vertAlign val="superscript"/>
        <sz val="10"/>
        <rFont val="Arial"/>
        <family val="2"/>
      </rPr>
      <t>2</t>
    </r>
  </si>
  <si>
    <t>Basic cost of house (GRP$)</t>
  </si>
  <si>
    <t>HseCost</t>
  </si>
  <si>
    <t>Weight of house (lb)</t>
  </si>
  <si>
    <t>HseWgtLB</t>
  </si>
  <si>
    <t>pounds</t>
  </si>
  <si>
    <t>Weight of house (tons)</t>
  </si>
  <si>
    <t>HseWgt</t>
  </si>
  <si>
    <t>tons</t>
  </si>
  <si>
    <t>Hitpoints of house</t>
  </si>
  <si>
    <t>HseHP</t>
  </si>
  <si>
    <t>Health (HT) of house</t>
  </si>
  <si>
    <t>HseHT</t>
  </si>
  <si>
    <t>Set to 12 unless you use certain Building Options.</t>
  </si>
  <si>
    <t>Damage resist (DR) of house</t>
  </si>
  <si>
    <t>HseDR</t>
  </si>
  <si>
    <t>See LTC for effects of different types of attacks.</t>
  </si>
  <si>
    <t>Tech level of house</t>
  </si>
  <si>
    <t>HseTL</t>
  </si>
  <si>
    <t>Construction time required</t>
  </si>
  <si>
    <t>ConstructTime</t>
  </si>
  <si>
    <t>months (assuming materials don't need to be built or imported)</t>
  </si>
  <si>
    <t>Building Options</t>
  </si>
  <si>
    <t>Labour quality</t>
  </si>
  <si>
    <t>Qlab</t>
  </si>
  <si>
    <t>Masterful</t>
  </si>
  <si>
    <t xml:space="preserve">  Labour HT adjustment</t>
  </si>
  <si>
    <t>QlabHT</t>
  </si>
  <si>
    <t xml:space="preserve">  Labour DR adjustment</t>
  </si>
  <si>
    <t>QlabDR</t>
  </si>
  <si>
    <t xml:space="preserve">  Labour HP adjustment</t>
  </si>
  <si>
    <t>QlabHP</t>
  </si>
  <si>
    <t xml:space="preserve">  Labour cost factor</t>
  </si>
  <si>
    <t>QlabCF</t>
  </si>
  <si>
    <t>Material quality</t>
  </si>
  <si>
    <t>Qmat</t>
  </si>
  <si>
    <t>Fine</t>
  </si>
  <si>
    <t xml:space="preserve">  Material HT adjustment</t>
  </si>
  <si>
    <t>QmatHT</t>
  </si>
  <si>
    <t xml:space="preserve">  Material DR adjustment</t>
  </si>
  <si>
    <t>QmatDR</t>
  </si>
  <si>
    <t xml:space="preserve">  Material HP adjustment</t>
  </si>
  <si>
    <t>QmatHP</t>
  </si>
  <si>
    <t xml:space="preserve">  Material cost factor</t>
  </si>
  <si>
    <t>QmatCF</t>
  </si>
  <si>
    <t>Mortar options</t>
  </si>
  <si>
    <t>Mortar</t>
  </si>
  <si>
    <t>Lime</t>
  </si>
  <si>
    <t xml:space="preserve">  Mortar HT adjustment</t>
  </si>
  <si>
    <t>MortarHT</t>
  </si>
  <si>
    <t>Doesn't change</t>
  </si>
  <si>
    <t xml:space="preserve">  Mortar DR adjustment</t>
  </si>
  <si>
    <t>MortarDR</t>
  </si>
  <si>
    <t xml:space="preserve">  Mortar HP adjustment</t>
  </si>
  <si>
    <t>MortarHP</t>
  </si>
  <si>
    <t xml:space="preserve">  Mortar cost factor</t>
  </si>
  <si>
    <t>MortarCF</t>
  </si>
  <si>
    <t xml:space="preserve">  Mortar weight modifier</t>
  </si>
  <si>
    <t>MortarWgt</t>
  </si>
  <si>
    <t xml:space="preserve">  Mortar tech level</t>
  </si>
  <si>
    <t>MortarTL</t>
  </si>
  <si>
    <t>Masonry options</t>
  </si>
  <si>
    <t>Masonry</t>
  </si>
  <si>
    <t>Cribwork</t>
  </si>
  <si>
    <t xml:space="preserve">  Masonry HT adjustment</t>
  </si>
  <si>
    <t>MasonryHT</t>
  </si>
  <si>
    <t xml:space="preserve">  Masonry DR adjustment</t>
  </si>
  <si>
    <t>MasonryDR</t>
  </si>
  <si>
    <t xml:space="preserve">  Masonry HP adjustment</t>
  </si>
  <si>
    <t>MasonryHP</t>
  </si>
  <si>
    <t xml:space="preserve">  Masonry cost factor</t>
  </si>
  <si>
    <t>MasonryCF</t>
  </si>
  <si>
    <t xml:space="preserve">  Masonry weight modifier</t>
  </si>
  <si>
    <t>MasonryWgt</t>
  </si>
  <si>
    <t xml:space="preserve">  Masonry tech level</t>
  </si>
  <si>
    <t>MasonryTL</t>
  </si>
  <si>
    <t>Heating and cooling</t>
  </si>
  <si>
    <t>Heating</t>
  </si>
  <si>
    <t>Watercooling</t>
  </si>
  <si>
    <t xml:space="preserve">  Heating HT adjustment</t>
  </si>
  <si>
    <t>HeatingHT</t>
  </si>
  <si>
    <t xml:space="preserve">  Heating DR adjustment</t>
  </si>
  <si>
    <t>HeatingDR</t>
  </si>
  <si>
    <t xml:space="preserve">  Heating HP adjustment</t>
  </si>
  <si>
    <t>HeatingHP</t>
  </si>
  <si>
    <t xml:space="preserve">  Heating cost (GRP$)</t>
  </si>
  <si>
    <t>HeatingCost</t>
  </si>
  <si>
    <t xml:space="preserve">  Heating weight modifier</t>
  </si>
  <si>
    <t>HeatingWgt</t>
  </si>
  <si>
    <t xml:space="preserve">  Heating tech level</t>
  </si>
  <si>
    <t>HeatingTL</t>
  </si>
  <si>
    <t>Tiling</t>
  </si>
  <si>
    <t>Tiling fireproofs any surfaces it covers, and can be done using</t>
  </si>
  <si>
    <t xml:space="preserve">  Number of floors tiled</t>
  </si>
  <si>
    <t>TilingFloors</t>
  </si>
  <si>
    <t>ceramic tiles, stone flags, or lead sheeting.</t>
  </si>
  <si>
    <t xml:space="preserve">  Roof tiling?</t>
  </si>
  <si>
    <t>TilingRoof</t>
  </si>
  <si>
    <t>No</t>
  </si>
  <si>
    <t xml:space="preserve">  Wall tiling?</t>
  </si>
  <si>
    <t>TilingWalls</t>
  </si>
  <si>
    <t>The equation used in LTC for whole-house tiling is not consistent</t>
  </si>
  <si>
    <t xml:space="preserve">  Tiling cost (GRP$)</t>
  </si>
  <si>
    <t>TilingCost</t>
  </si>
  <si>
    <t>with the sum of the cost of tiling each section.  I have here used</t>
  </si>
  <si>
    <t xml:space="preserve">  Tiling weight (lb)</t>
  </si>
  <si>
    <t>TilingWgt</t>
  </si>
  <si>
    <t>only the sum of the amounts calculated for each section.</t>
  </si>
  <si>
    <t xml:space="preserve">  Tiling tech level</t>
  </si>
  <si>
    <t>TilingTL</t>
  </si>
  <si>
    <t>Final Statistics</t>
  </si>
  <si>
    <t>Cost of house (GRP$)</t>
  </si>
  <si>
    <t>FinalHseCost</t>
  </si>
  <si>
    <t>FinalHseWgtLB</t>
  </si>
  <si>
    <t>FinalHseWgt</t>
  </si>
  <si>
    <t>FinalHseHP</t>
  </si>
  <si>
    <t>FinalHseHT</t>
  </si>
  <si>
    <t>FinalHseDR</t>
  </si>
  <si>
    <t>FinalHseTL</t>
  </si>
  <si>
    <t>FinalTime</t>
  </si>
  <si>
    <t>Material</t>
  </si>
  <si>
    <t>Cost</t>
  </si>
  <si>
    <t>TL</t>
  </si>
  <si>
    <t>Weight</t>
  </si>
  <si>
    <t>DR</t>
  </si>
  <si>
    <t>Labour cost</t>
  </si>
  <si>
    <t>Wood</t>
  </si>
  <si>
    <t>Thickness (inches)</t>
  </si>
  <si>
    <t>Hard Earth</t>
  </si>
  <si>
    <t>Rubble</t>
  </si>
  <si>
    <t>Thatch</t>
  </si>
  <si>
    <t>special</t>
  </si>
  <si>
    <t>Ashlar</t>
  </si>
  <si>
    <t>Concrete</t>
  </si>
  <si>
    <t>HT modifier</t>
  </si>
  <si>
    <t>DR modifier</t>
  </si>
  <si>
    <t>HP modifier</t>
  </si>
  <si>
    <t>Cost Factor</t>
  </si>
  <si>
    <t>Unskilled</t>
  </si>
  <si>
    <t>Ordinary</t>
  </si>
  <si>
    <t>Cheap</t>
  </si>
  <si>
    <t>Weight modifier</t>
  </si>
  <si>
    <t>None</t>
  </si>
  <si>
    <t>Mud</t>
  </si>
  <si>
    <t>Plaster</t>
  </si>
  <si>
    <t>Not required</t>
  </si>
  <si>
    <t>Details</t>
  </si>
  <si>
    <t>Details2</t>
  </si>
  <si>
    <t xml:space="preserve"> </t>
  </si>
  <si>
    <t>Corbelled masonry</t>
  </si>
  <si>
    <t>Each course of masonry extends slightly farther out than the course below it.</t>
  </si>
  <si>
    <t>Very few holes (eg windows) can be left in the walls.</t>
  </si>
  <si>
    <t>Cribwork (Hard Earth)</t>
  </si>
  <si>
    <t>Secondary layer(s) of alternative material provides increased resiliency.</t>
  </si>
  <si>
    <t>The additional effects of cribwork are factored in; no need for further modifications.</t>
  </si>
  <si>
    <t>Cribwork (Rubble)</t>
  </si>
  <si>
    <t>Cribwork (Ashlar)</t>
  </si>
  <si>
    <t>Cribwork (Brick)</t>
  </si>
  <si>
    <t>Embossing</t>
  </si>
  <si>
    <t>Large stones project at intervals from the wall.  DR modifer is vs. crushing only.</t>
  </si>
  <si>
    <t>Embossing provides +3 to Climb checks!</t>
  </si>
  <si>
    <t>Vaulted masonry</t>
  </si>
  <si>
    <t>Semicircular vault makes structure especially durable.</t>
  </si>
  <si>
    <t>Gothic masonry</t>
  </si>
  <si>
    <t>Broken Arches and Flying Buttresses.</t>
  </si>
  <si>
    <t>75% of walls may be doors or windows.</t>
  </si>
  <si>
    <t>Cost *</t>
  </si>
  <si>
    <t>* In GRP$; an addition, not a modifer.</t>
  </si>
  <si>
    <t>Hypocaust</t>
  </si>
  <si>
    <t>Underfloor cooling; manually add on the cost of connecting the water source!!</t>
  </si>
  <si>
    <t>Red cells represent a change from standard.</t>
  </si>
  <si>
    <t>Grey cells represent no change.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</si>
</sst>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13">
    <font>
      <sz val="10"/>
      <name val="Arial"/>
      <family val="2"/>
    </font>
    <font>
      <sz val="10"/>
      <color indexed="3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2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22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Alignment="0" applyProtection="0"/>
    <xf numFmtId="164" fontId="2" fillId="0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5" fontId="7" fillId="0" borderId="2" xfId="0" applyNumberFormat="1" applyFont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 applyProtection="1">
      <alignment/>
      <protection locked="0"/>
    </xf>
    <xf numFmtId="164" fontId="0" fillId="0" borderId="5" xfId="0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4" fontId="0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4" fontId="7" fillId="0" borderId="7" xfId="0" applyFont="1" applyBorder="1" applyAlignment="1" applyProtection="1">
      <alignment/>
      <protection locked="0"/>
    </xf>
    <xf numFmtId="164" fontId="0" fillId="0" borderId="8" xfId="0" applyFont="1" applyBorder="1" applyAlignment="1">
      <alignment wrapText="1"/>
    </xf>
    <xf numFmtId="166" fontId="7" fillId="0" borderId="0" xfId="0" applyNumberFormat="1" applyFont="1" applyAlignment="1" applyProtection="1">
      <alignment/>
      <protection locked="0"/>
    </xf>
    <xf numFmtId="164" fontId="0" fillId="0" borderId="5" xfId="0" applyFont="1" applyBorder="1" applyAlignment="1">
      <alignment wrapText="1"/>
    </xf>
    <xf numFmtId="166" fontId="7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>
      <alignment/>
    </xf>
    <xf numFmtId="165" fontId="10" fillId="0" borderId="7" xfId="0" applyNumberFormat="1" applyFont="1" applyBorder="1" applyAlignment="1">
      <alignment/>
    </xf>
    <xf numFmtId="164" fontId="0" fillId="0" borderId="8" xfId="0" applyBorder="1" applyAlignment="1">
      <alignment/>
    </xf>
    <xf numFmtId="165" fontId="10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6" fontId="7" fillId="0" borderId="2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7" fillId="0" borderId="7" xfId="0" applyNumberFormat="1" applyFont="1" applyBorder="1" applyAlignment="1" applyProtection="1">
      <alignment horizontal="right"/>
      <protection locked="0"/>
    </xf>
    <xf numFmtId="164" fontId="0" fillId="0" borderId="8" xfId="0" applyNumberFormat="1" applyBorder="1" applyAlignment="1">
      <alignment/>
    </xf>
    <xf numFmtId="165" fontId="10" fillId="0" borderId="10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left"/>
    </xf>
    <xf numFmtId="165" fontId="0" fillId="0" borderId="8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right"/>
    </xf>
    <xf numFmtId="164" fontId="0" fillId="0" borderId="7" xfId="0" applyBorder="1" applyAlignment="1">
      <alignment/>
    </xf>
    <xf numFmtId="164" fontId="7" fillId="0" borderId="0" xfId="0" applyFont="1" applyAlignment="1" applyProtection="1">
      <alignment horizontal="right"/>
      <protection locked="0"/>
    </xf>
    <xf numFmtId="165" fontId="10" fillId="0" borderId="2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0" fillId="0" borderId="2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5" xfId="0" applyBorder="1" applyAlignment="1">
      <alignment/>
    </xf>
    <xf numFmtId="167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difierAbsent" xfId="20"/>
    <cellStyle name="ModifierPresent" xfId="21"/>
  </cellStyles>
  <dxfs count="2">
    <dxf>
      <font>
        <b val="0"/>
        <color rgb="FFCCCCCC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12.57421875" defaultRowHeight="12.75"/>
  <cols>
    <col min="1" max="1" width="27.140625" style="0" customWidth="1"/>
    <col min="2" max="2" width="14.140625" style="0" customWidth="1"/>
    <col min="3" max="3" width="17.28125" style="0" customWidth="1"/>
    <col min="4" max="4" width="63.57421875" style="0" customWidth="1"/>
    <col min="5" max="16384" width="11.5742187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1" ht="12.75">
      <c r="A11" s="2" t="s">
        <v>8</v>
      </c>
    </row>
    <row r="12" ht="12.75">
      <c r="A12" s="3" t="s">
        <v>9</v>
      </c>
    </row>
    <row r="13" ht="12.75">
      <c r="A13" s="4" t="s">
        <v>10</v>
      </c>
    </row>
    <row r="15" ht="12.75">
      <c r="A15" s="1" t="s">
        <v>11</v>
      </c>
    </row>
    <row r="16" spans="1:4" ht="12.75">
      <c r="A16" s="5" t="s">
        <v>12</v>
      </c>
      <c r="B16" s="6" t="s">
        <v>13</v>
      </c>
      <c r="C16" s="7">
        <v>18</v>
      </c>
      <c r="D16" s="8" t="s">
        <v>14</v>
      </c>
    </row>
    <row r="17" spans="1:4" ht="12.75">
      <c r="A17" s="9" t="s">
        <v>15</v>
      </c>
      <c r="B17" s="10" t="s">
        <v>16</v>
      </c>
      <c r="C17" s="11">
        <v>31</v>
      </c>
      <c r="D17" s="12" t="s">
        <v>17</v>
      </c>
    </row>
    <row r="18" spans="1:4" ht="12.75">
      <c r="A18" s="9" t="s">
        <v>18</v>
      </c>
      <c r="B18" s="10" t="s">
        <v>19</v>
      </c>
      <c r="C18" s="13">
        <f>HseWd*HseLn</f>
        <v>558</v>
      </c>
      <c r="D18" s="12"/>
    </row>
    <row r="19" spans="1:4" ht="27.75" customHeight="1">
      <c r="A19" s="9" t="s">
        <v>20</v>
      </c>
      <c r="B19" s="10" t="s">
        <v>21</v>
      </c>
      <c r="C19" s="11">
        <v>8</v>
      </c>
      <c r="D19" s="12"/>
    </row>
    <row r="20" spans="1:4" ht="12.75">
      <c r="A20" s="9" t="s">
        <v>22</v>
      </c>
      <c r="B20" s="10" t="s">
        <v>23</v>
      </c>
      <c r="C20" s="11">
        <v>2</v>
      </c>
      <c r="D20" s="12"/>
    </row>
    <row r="21" spans="1:4" ht="12.75">
      <c r="A21" s="9" t="s">
        <v>24</v>
      </c>
      <c r="B21" s="10" t="s">
        <v>25</v>
      </c>
      <c r="C21" s="13">
        <f>FlrHt*FlrNo</f>
        <v>16</v>
      </c>
      <c r="D21" s="12"/>
    </row>
    <row r="22" spans="1:4" ht="27.75" customHeight="1">
      <c r="A22" s="9" t="s">
        <v>26</v>
      </c>
      <c r="B22" s="10" t="s">
        <v>27</v>
      </c>
      <c r="C22" s="13">
        <f>FlrArea*HseHt</f>
        <v>8928</v>
      </c>
      <c r="D22" s="12"/>
    </row>
    <row r="23" spans="1:4" ht="35.25" customHeight="1">
      <c r="A23" s="14" t="s">
        <v>28</v>
      </c>
      <c r="B23" s="15" t="s">
        <v>29</v>
      </c>
      <c r="C23" s="16">
        <v>6</v>
      </c>
      <c r="D23" s="17" t="s">
        <v>30</v>
      </c>
    </row>
    <row r="24" spans="1:4" ht="35.25" customHeight="1">
      <c r="A24" s="9" t="s">
        <v>31</v>
      </c>
      <c r="B24" s="10" t="s">
        <v>32</v>
      </c>
      <c r="C24" s="18">
        <v>0.3</v>
      </c>
      <c r="D24" s="19" t="s">
        <v>33</v>
      </c>
    </row>
    <row r="25" spans="1:4" ht="25.5" customHeight="1">
      <c r="A25" s="9" t="s">
        <v>34</v>
      </c>
      <c r="B25" s="10" t="s">
        <v>35</v>
      </c>
      <c r="C25" s="20" t="s">
        <v>36</v>
      </c>
      <c r="D25" s="19" t="s">
        <v>37</v>
      </c>
    </row>
    <row r="26" spans="1:4" ht="12.75">
      <c r="A26" s="9" t="s">
        <v>38</v>
      </c>
      <c r="B26" s="10" t="s">
        <v>39</v>
      </c>
      <c r="C26" s="21">
        <f>IF(HseMat="Wood",INDEX(Materials!J2:J100,INT(MAX(1,MIN(8,ExtThick)))),INDEX(Materials!B2:B100,MATCH(HseMat,Materials!A2:A100,0)))</f>
        <v>3.34</v>
      </c>
      <c r="D26" s="12"/>
    </row>
    <row r="27" spans="1:4" ht="12.75">
      <c r="A27" s="9" t="s">
        <v>40</v>
      </c>
      <c r="B27" s="10" t="s">
        <v>41</v>
      </c>
      <c r="C27" s="21">
        <f>INDEX(Materials!D2:D100,MATCH(HseMat,Materials!A2:A100,0))</f>
        <v>7.7</v>
      </c>
      <c r="D27" s="12" t="s">
        <v>42</v>
      </c>
    </row>
    <row r="28" spans="1:4" ht="12.75">
      <c r="A28" s="14" t="s">
        <v>43</v>
      </c>
      <c r="B28" s="15" t="s">
        <v>44</v>
      </c>
      <c r="C28" s="22">
        <f>HseVol*ExtThick*PartFac*MatCost</f>
        <v>53675.136</v>
      </c>
      <c r="D28" s="23"/>
    </row>
    <row r="29" spans="1:4" ht="12.75" hidden="1">
      <c r="A29" s="9" t="s">
        <v>45</v>
      </c>
      <c r="B29" s="10" t="s">
        <v>46</v>
      </c>
      <c r="C29" s="24">
        <f>HseVol*ExtThick*PartFac*MatWgt</f>
        <v>123742.08</v>
      </c>
      <c r="D29" s="12" t="s">
        <v>47</v>
      </c>
    </row>
    <row r="30" spans="1:4" ht="12.75">
      <c r="A30" s="9" t="s">
        <v>48</v>
      </c>
      <c r="B30" s="10" t="s">
        <v>49</v>
      </c>
      <c r="C30" s="24">
        <f>ROUND(HseWgtLB/2000,0)</f>
        <v>62</v>
      </c>
      <c r="D30" s="12" t="s">
        <v>50</v>
      </c>
    </row>
    <row r="31" spans="1:4" ht="12.75">
      <c r="A31" s="9" t="s">
        <v>51</v>
      </c>
      <c r="B31" s="25" t="s">
        <v>52</v>
      </c>
      <c r="C31" s="26">
        <f>ROUND(100*HseWgt^(1/3),0)</f>
        <v>396</v>
      </c>
      <c r="D31" s="12"/>
    </row>
    <row r="32" spans="1:4" ht="12.75">
      <c r="A32" s="9" t="s">
        <v>53</v>
      </c>
      <c r="B32" s="25" t="s">
        <v>54</v>
      </c>
      <c r="C32" s="26">
        <v>12</v>
      </c>
      <c r="D32" s="12" t="s">
        <v>55</v>
      </c>
    </row>
    <row r="33" spans="1:4" ht="12.75">
      <c r="A33" s="9" t="s">
        <v>56</v>
      </c>
      <c r="B33" s="25" t="s">
        <v>57</v>
      </c>
      <c r="C33" s="26">
        <f>MAX(1,ExtThick*INDEX(Materials!E1:E99,MATCH(HseMat,Materials!A1:A99,0)))</f>
        <v>48</v>
      </c>
      <c r="D33" s="12" t="s">
        <v>58</v>
      </c>
    </row>
    <row r="34" spans="1:4" ht="12.75">
      <c r="A34" s="9" t="s">
        <v>59</v>
      </c>
      <c r="B34" s="25" t="s">
        <v>60</v>
      </c>
      <c r="C34" s="26">
        <f>INDEX(Materials!C2:C100,MATCH(HseMat,Materials!A2:A100,0))</f>
        <v>1</v>
      </c>
      <c r="D34" s="12"/>
    </row>
    <row r="35" spans="1:4" ht="12.75">
      <c r="A35" s="27" t="s">
        <v>61</v>
      </c>
      <c r="B35" s="28" t="s">
        <v>62</v>
      </c>
      <c r="C35" s="29">
        <f>HseCost/(0.55*900)*INDEX(Materials!F2:F100,MATCH(HseMat,Materials!A2:A100,0))</f>
        <v>2.1686923636363633</v>
      </c>
      <c r="D35" s="30" t="s">
        <v>63</v>
      </c>
    </row>
    <row r="37" ht="12.75">
      <c r="A37" s="1" t="s">
        <v>64</v>
      </c>
    </row>
    <row r="38" spans="1:4" ht="12.75">
      <c r="A38" s="5" t="s">
        <v>65</v>
      </c>
      <c r="B38" s="6" t="s">
        <v>66</v>
      </c>
      <c r="C38" s="31" t="s">
        <v>67</v>
      </c>
      <c r="D38" s="8"/>
    </row>
    <row r="39" spans="1:4" ht="12.75">
      <c r="A39" s="9" t="s">
        <v>68</v>
      </c>
      <c r="B39" s="10" t="s">
        <v>69</v>
      </c>
      <c r="C39" s="32">
        <f>INDEX(Options!B$2:B$4,MATCH(Qlab,Options!A$2:A$4,0))</f>
        <v>1</v>
      </c>
      <c r="D39" s="12"/>
    </row>
    <row r="40" spans="1:4" ht="12.75">
      <c r="A40" s="9" t="s">
        <v>70</v>
      </c>
      <c r="B40" s="10" t="s">
        <v>71</v>
      </c>
      <c r="C40" s="33">
        <f>INDEX(Options!C$2:C$4,MATCH(Qlab,Options!A$2:A$4,0))</f>
        <v>1</v>
      </c>
      <c r="D40" s="12"/>
    </row>
    <row r="41" spans="1:4" ht="12.75">
      <c r="A41" s="9" t="s">
        <v>72</v>
      </c>
      <c r="B41" s="10" t="s">
        <v>73</v>
      </c>
      <c r="C41" s="33">
        <f>INDEX(Options!D$2:D$4,MATCH(Qlab,Options!A$2:A$4,0))</f>
        <v>1</v>
      </c>
      <c r="D41" s="12"/>
    </row>
    <row r="42" spans="1:4" ht="12.75">
      <c r="A42" s="27" t="s">
        <v>74</v>
      </c>
      <c r="B42" s="28" t="s">
        <v>75</v>
      </c>
      <c r="C42" s="34">
        <f>INDEX(Options!E$2:E$4,MATCH(Qlab,Options!A$2:A$4,0))</f>
        <v>0.25</v>
      </c>
      <c r="D42" s="30"/>
    </row>
    <row r="43" spans="1:4" ht="12.75">
      <c r="A43" s="14" t="s">
        <v>76</v>
      </c>
      <c r="B43" s="15" t="s">
        <v>77</v>
      </c>
      <c r="C43" s="35" t="s">
        <v>78</v>
      </c>
      <c r="D43" s="23"/>
    </row>
    <row r="44" spans="1:4" ht="12.75">
      <c r="A44" s="9" t="s">
        <v>79</v>
      </c>
      <c r="B44" s="10" t="s">
        <v>80</v>
      </c>
      <c r="C44" s="32">
        <f>INDEX(Options!B$7:B$9,MATCH(Qmat,Options!A$7:A$9,0))</f>
        <v>1</v>
      </c>
      <c r="D44" s="12"/>
    </row>
    <row r="45" spans="1:4" ht="12.75">
      <c r="A45" s="9" t="s">
        <v>81</v>
      </c>
      <c r="B45" s="10" t="s">
        <v>82</v>
      </c>
      <c r="C45" s="33">
        <f>INDEX(Options!C$7:C$9,MATCH(Qmat,Options!A$7:A$9,0))</f>
        <v>1</v>
      </c>
      <c r="D45" s="12"/>
    </row>
    <row r="46" spans="1:4" ht="12.75">
      <c r="A46" s="9" t="s">
        <v>83</v>
      </c>
      <c r="B46" s="10" t="s">
        <v>84</v>
      </c>
      <c r="C46" s="33">
        <f>INDEX(Options!D$7:D$9,MATCH(Qmat,Options!A$7:A$9,0))</f>
        <v>1</v>
      </c>
      <c r="D46" s="12"/>
    </row>
    <row r="47" spans="1:4" ht="12.75">
      <c r="A47" s="27" t="s">
        <v>85</v>
      </c>
      <c r="B47" s="28" t="s">
        <v>86</v>
      </c>
      <c r="C47" s="34">
        <f>INDEX(Options!E$7:E$9,MATCH(Qmat,Options!A$7:A$9,0))</f>
        <v>0.25</v>
      </c>
      <c r="D47" s="30"/>
    </row>
    <row r="48" spans="1:4" ht="12.75">
      <c r="A48" s="14" t="s">
        <v>87</v>
      </c>
      <c r="B48" s="15" t="s">
        <v>88</v>
      </c>
      <c r="C48" s="35" t="s">
        <v>89</v>
      </c>
      <c r="D48" s="36">
        <f>IF(AND(Mortar&lt;&gt;"Not required",OR(HseMat="Hard Earth",HseMat="Thatch",HseMat="Wood",HseMat="Concrete")),"Select 'Not required' for "&amp;HseMat&amp;" buildings.",IF(AND(Mortar="Not required",OR(HseMat="Rubble",HseMat="Ashlar",HseMat="Brick")),"Mortar IS required for "&amp;HseMat&amp;" buildings!!",""))</f>
      </c>
    </row>
    <row r="49" spans="1:4" ht="12.75" hidden="1">
      <c r="A49" s="9" t="s">
        <v>90</v>
      </c>
      <c r="B49" s="10" t="s">
        <v>91</v>
      </c>
      <c r="C49" s="32">
        <f>INDEX(Options!B$12:B$16,MATCH(Mortar,Options!A$12:A$16,0))</f>
        <v>0</v>
      </c>
      <c r="D49" s="12" t="s">
        <v>92</v>
      </c>
    </row>
    <row r="50" spans="1:4" ht="12.75" hidden="1">
      <c r="A50" s="9" t="s">
        <v>93</v>
      </c>
      <c r="B50" s="10" t="s">
        <v>94</v>
      </c>
      <c r="C50" s="33">
        <f>INDEX(Options!C$12:C$16,MATCH(Mortar,Options!A$12:A$16,0))</f>
        <v>1</v>
      </c>
      <c r="D50" s="12" t="s">
        <v>92</v>
      </c>
    </row>
    <row r="51" spans="1:4" ht="12.75">
      <c r="A51" s="9" t="s">
        <v>95</v>
      </c>
      <c r="B51" s="10" t="s">
        <v>96</v>
      </c>
      <c r="C51" s="33">
        <f>INDEX(Options!D$12:D$16,MATCH(Mortar,Options!A$12:A$16,0))</f>
        <v>1</v>
      </c>
      <c r="D51" s="12"/>
    </row>
    <row r="52" spans="1:4" ht="12.75" hidden="1">
      <c r="A52" s="9" t="s">
        <v>97</v>
      </c>
      <c r="B52" s="10" t="s">
        <v>98</v>
      </c>
      <c r="C52" s="32">
        <f>INDEX(Options!E$12:E$16,MATCH(Mortar,Options!A$12:A$16,0))</f>
        <v>0</v>
      </c>
      <c r="D52" s="12" t="s">
        <v>92</v>
      </c>
    </row>
    <row r="53" spans="1:4" ht="12.75" hidden="1">
      <c r="A53" s="9" t="s">
        <v>99</v>
      </c>
      <c r="B53" s="10" t="s">
        <v>100</v>
      </c>
      <c r="C53" s="33">
        <f>INDEX(Options!F$12:F$16,MATCH(Mortar,Options!A$12:A$16,0))</f>
        <v>1</v>
      </c>
      <c r="D53" s="12" t="s">
        <v>92</v>
      </c>
    </row>
    <row r="54" spans="1:4" ht="12.75">
      <c r="A54" s="27" t="s">
        <v>101</v>
      </c>
      <c r="B54" s="28" t="s">
        <v>102</v>
      </c>
      <c r="C54" s="37">
        <f>INDEX(Options!G$12:G$16,MATCH(Mortar,Options!A$12:A$16,0))</f>
        <v>1</v>
      </c>
      <c r="D54" s="30"/>
    </row>
    <row r="55" spans="1:4" ht="12.75">
      <c r="A55" s="14" t="s">
        <v>103</v>
      </c>
      <c r="B55" s="15" t="s">
        <v>104</v>
      </c>
      <c r="C55" s="35" t="s">
        <v>105</v>
      </c>
      <c r="D55" s="36" t="str">
        <f>IF(Masonry="Cribwork",IF(OR(HseMat="Hard Earth",HseMat="Rubble",HseMat="Ashlar",HseMat="Brick"),Masonry&amp;" ("&amp;HseMat&amp;")","Only Hard Earth, Rubble, Ashlar or Brick can be cribworked!"),IF(Masonry="Corbelled masonry",IF(OR(HseMat="Rubble",HseMat="Ashlar",HseMat="Brick"),Masonry,"Only Rubble, Ashlar or Brick can be corbelled!"),IF(Masonry="Embossing",IF(OR(HseMat="Rubble",HseMat="Ashlar",HseMat="Brick"),Masonry,"Only Rubble, Ashlar or Brick can be embossed!"),IF(Masonry="Vaulted masonry",IF(OR(HseMat="Ashlar",HseMat="Brick",HseMat="Concrete"),Masonry,"Only Ashlar, Brick or Concrete can be vaulted!"),IF(Masonry="Gothic masonry",IF(OR(HseMat="Ashlar",HseMat="Brick"),Masonry,"Only Ashlar or Brick can be Gothic!"),Masonry)))))</f>
        <v>Cribwork (Brick)</v>
      </c>
    </row>
    <row r="56" spans="1:4" ht="12.75">
      <c r="A56" s="9" t="s">
        <v>106</v>
      </c>
      <c r="B56" s="10" t="s">
        <v>107</v>
      </c>
      <c r="C56" s="32">
        <f>INDEX(Options!B$19:B$27,MATCH(MasonryFullName,Options!A$19:A$27,0))</f>
        <v>1</v>
      </c>
      <c r="D56" s="38" t="str">
        <f>INDEX(Options!H$19:H$27,MATCH(MasonryFullName,Options!A$19:A$27,0))</f>
        <v>Secondary layer(s) of alternative material provides increased resiliency.</v>
      </c>
    </row>
    <row r="57" spans="1:4" ht="12.75">
      <c r="A57" s="9" t="s">
        <v>108</v>
      </c>
      <c r="B57" s="10" t="s">
        <v>109</v>
      </c>
      <c r="C57" s="33">
        <f>INDEX(Options!C$19:C$27,MATCH(MasonryFullName,Options!A$19:A$27,0))</f>
        <v>1</v>
      </c>
      <c r="D57" s="38" t="str">
        <f>INDEX(Options!I$19:I$27,MATCH(MasonryFullName,Options!A$19:A$27,0))</f>
        <v>The additional effects of cribwork are factored in; no need for further modifications.</v>
      </c>
    </row>
    <row r="58" spans="1:4" ht="12.75" hidden="1">
      <c r="A58" s="9" t="s">
        <v>110</v>
      </c>
      <c r="B58" s="10" t="s">
        <v>111</v>
      </c>
      <c r="C58" s="33">
        <f>INDEX(Options!D$19:D$27,MATCH(MasonryFullName,Options!A$19:A$27,0))</f>
        <v>1</v>
      </c>
      <c r="D58" s="12" t="s">
        <v>92</v>
      </c>
    </row>
    <row r="59" spans="1:4" ht="12.75">
      <c r="A59" s="9" t="s">
        <v>112</v>
      </c>
      <c r="B59" s="10" t="s">
        <v>113</v>
      </c>
      <c r="C59" s="32">
        <f>INDEX(Options!E$19:E$27,MATCH(MasonryFullName,Options!A$19:A$27,0))</f>
        <v>0.1</v>
      </c>
      <c r="D59" s="12"/>
    </row>
    <row r="60" spans="1:4" ht="12.75">
      <c r="A60" s="9" t="s">
        <v>114</v>
      </c>
      <c r="B60" s="10" t="s">
        <v>115</v>
      </c>
      <c r="C60" s="33">
        <f>INDEX(Options!F$19:F$27,MATCH(MasonryFullName,Options!A$19:A$27,0))</f>
        <v>1.05</v>
      </c>
      <c r="D60" s="12"/>
    </row>
    <row r="61" spans="1:4" ht="12.75">
      <c r="A61" s="27" t="s">
        <v>116</v>
      </c>
      <c r="B61" s="28" t="s">
        <v>117</v>
      </c>
      <c r="C61" s="37">
        <f>INDEX(Options!G$19:G$27,MATCH(MasonryFullName,Options!A$19:A$27,0))</f>
        <v>1</v>
      </c>
      <c r="D61" s="30"/>
    </row>
    <row r="62" spans="1:4" ht="12.75">
      <c r="A62" s="14" t="s">
        <v>118</v>
      </c>
      <c r="B62" s="15" t="s">
        <v>119</v>
      </c>
      <c r="C62" s="35" t="s">
        <v>120</v>
      </c>
      <c r="D62" s="39" t="str">
        <f>INDEX(Options!H$30:H$32,MATCH(Heating,Options!A$30:A$32,0))</f>
        <v>Underfloor cooling; manually add on the cost of connecting the water source!!</v>
      </c>
    </row>
    <row r="63" spans="1:4" ht="12.75" hidden="1">
      <c r="A63" s="9" t="s">
        <v>121</v>
      </c>
      <c r="B63" s="10" t="s">
        <v>122</v>
      </c>
      <c r="C63" s="32">
        <f>INDEX(Options!B$30:B$32,MATCH(Heating,Options!A$30:A$32,0))</f>
        <v>0</v>
      </c>
      <c r="D63" s="12" t="s">
        <v>92</v>
      </c>
    </row>
    <row r="64" spans="1:4" ht="12.75" hidden="1">
      <c r="A64" s="9" t="s">
        <v>123</v>
      </c>
      <c r="B64" s="10" t="s">
        <v>124</v>
      </c>
      <c r="C64" s="33">
        <f>INDEX(Options!C$30:C$32,MATCH(Heating,Options!A$30:A$32,0))</f>
        <v>1</v>
      </c>
      <c r="D64" s="12" t="s">
        <v>92</v>
      </c>
    </row>
    <row r="65" spans="1:4" ht="12.75" hidden="1">
      <c r="A65" s="9" t="s">
        <v>125</v>
      </c>
      <c r="B65" s="10" t="s">
        <v>126</v>
      </c>
      <c r="C65" s="33">
        <f>INDEX(Options!D$30:D$32,MATCH(Heating,Options!A$30:A$32,0))</f>
        <v>1</v>
      </c>
      <c r="D65" s="12" t="s">
        <v>92</v>
      </c>
    </row>
    <row r="66" spans="1:4" ht="12.75">
      <c r="A66" s="9" t="s">
        <v>127</v>
      </c>
      <c r="B66" s="10" t="s">
        <v>128</v>
      </c>
      <c r="C66" s="40">
        <f>IF(D66="",INDEX(Options!E$30:E$32,MATCH(Heating,Options!A$30:A$32,0)),"#N/A")</f>
        <v>8928</v>
      </c>
      <c r="D66" s="12">
        <f>IF(Heating="Hypocaust",IF(OR(HseMat="Hard Earth",HseMat="Rubble",HseMat="Ashlar",HseMat="Brick",HseMat="Concrete"),"","Hypocausts only work with Hard Earth, Rubble, Ashlar, Brick or Concrete!"),IF(Masonry="Water Cooling",IF(OR(HseMat="Rubble",HseMat="Ashlar",HseMat="Brick"),"","Water Cooling only works with Rubble, Ashlar or Brick!"),""))</f>
      </c>
    </row>
    <row r="67" spans="1:4" ht="12.75" hidden="1">
      <c r="A67" s="9" t="s">
        <v>129</v>
      </c>
      <c r="B67" s="10" t="s">
        <v>130</v>
      </c>
      <c r="C67" s="33">
        <f>INDEX(Options!F$30:F$32,MATCH(Heating,Options!A$30:A$32,0))</f>
        <v>1</v>
      </c>
      <c r="D67" s="12" t="s">
        <v>92</v>
      </c>
    </row>
    <row r="68" spans="1:4" ht="12.75">
      <c r="A68" s="9" t="s">
        <v>131</v>
      </c>
      <c r="B68" s="28" t="s">
        <v>132</v>
      </c>
      <c r="C68" s="37">
        <f>INDEX(Options!G$30:G$32,MATCH(Heating,Options!A$30:A$32,0))</f>
        <v>4</v>
      </c>
      <c r="D68" s="12"/>
    </row>
    <row r="69" spans="1:4" ht="12.75">
      <c r="A69" s="14" t="s">
        <v>133</v>
      </c>
      <c r="B69" s="15" t="s">
        <v>133</v>
      </c>
      <c r="C69" s="41"/>
      <c r="D69" s="23" t="s">
        <v>134</v>
      </c>
    </row>
    <row r="70" spans="1:4" ht="12.75">
      <c r="A70" s="9" t="s">
        <v>135</v>
      </c>
      <c r="B70" s="10" t="s">
        <v>136</v>
      </c>
      <c r="C70" s="42">
        <v>0</v>
      </c>
      <c r="D70" s="12" t="s">
        <v>137</v>
      </c>
    </row>
    <row r="71" spans="1:4" ht="12.75">
      <c r="A71" s="9" t="s">
        <v>138</v>
      </c>
      <c r="B71" s="10" t="s">
        <v>139</v>
      </c>
      <c r="C71" s="42" t="s">
        <v>140</v>
      </c>
      <c r="D71" s="12"/>
    </row>
    <row r="72" spans="1:4" ht="12.75">
      <c r="A72" s="9" t="s">
        <v>141</v>
      </c>
      <c r="B72" s="10" t="s">
        <v>142</v>
      </c>
      <c r="C72" s="42" t="s">
        <v>140</v>
      </c>
      <c r="D72" s="12" t="s">
        <v>143</v>
      </c>
    </row>
    <row r="73" spans="1:4" ht="12.75">
      <c r="A73" s="9" t="s">
        <v>144</v>
      </c>
      <c r="B73" s="10" t="s">
        <v>145</v>
      </c>
      <c r="C73" s="24">
        <f>3.15*(FlrArea*(TilingFloors+(TilingRoof="Yes"))+(TilingWalls="Yes")*HseHt*(HseWd+HseLn)*PartFac*4)</f>
        <v>0</v>
      </c>
      <c r="D73" s="12" t="s">
        <v>146</v>
      </c>
    </row>
    <row r="74" spans="1:4" ht="12.75">
      <c r="A74" s="9" t="s">
        <v>147</v>
      </c>
      <c r="B74" s="10" t="s">
        <v>148</v>
      </c>
      <c r="C74" s="24">
        <f>5.5*(FlrArea*(TilingFloors+(TilingRoof="Yes"))+(TilingWalls="Yes")*HseHt*(HseWd+HseLn)*PartFac*4)</f>
        <v>0</v>
      </c>
      <c r="D74" s="12" t="s">
        <v>149</v>
      </c>
    </row>
    <row r="75" spans="1:4" ht="12.75">
      <c r="A75" s="27" t="s">
        <v>150</v>
      </c>
      <c r="B75" s="28" t="s">
        <v>151</v>
      </c>
      <c r="C75" s="37">
        <f>IF(OR(TilingFloors&gt;0,TilingRoof="Yes",TilingWalls="Yes"),1,0)</f>
        <v>0</v>
      </c>
      <c r="D75" s="30"/>
    </row>
    <row r="77" ht="12.75">
      <c r="A77" s="1" t="s">
        <v>152</v>
      </c>
    </row>
    <row r="78" spans="1:4" ht="12.75">
      <c r="A78" s="5" t="s">
        <v>153</v>
      </c>
      <c r="B78" s="6" t="s">
        <v>154</v>
      </c>
      <c r="C78" s="43">
        <v>94808.2176</v>
      </c>
      <c r="D78" s="8"/>
    </row>
    <row r="79" spans="1:4" ht="12.75" hidden="1">
      <c r="A79" s="9" t="s">
        <v>45</v>
      </c>
      <c r="B79" s="10" t="s">
        <v>155</v>
      </c>
      <c r="C79" s="24">
        <f>HseWgtLB*MortarWgt*MasonryWgt*HeatingWgt+TilingWgt</f>
        <v>129929.18400000001</v>
      </c>
      <c r="D79" s="12" t="s">
        <v>47</v>
      </c>
    </row>
    <row r="80" spans="1:4" ht="12.75">
      <c r="A80" s="9" t="s">
        <v>48</v>
      </c>
      <c r="B80" s="10" t="s">
        <v>156</v>
      </c>
      <c r="C80" s="24">
        <f>ROUND(FinalHseWgtLB/2000,0)</f>
        <v>65</v>
      </c>
      <c r="D80" s="12" t="s">
        <v>50</v>
      </c>
    </row>
    <row r="81" spans="1:4" ht="12.75">
      <c r="A81" s="9" t="s">
        <v>51</v>
      </c>
      <c r="B81" s="25" t="s">
        <v>157</v>
      </c>
      <c r="C81" s="26">
        <f>HseHP*QlabHP*QmatHP*MortarHP*MasonryHP*HeatingHP</f>
        <v>396</v>
      </c>
      <c r="D81" s="12"/>
    </row>
    <row r="82" spans="1:4" ht="12.75">
      <c r="A82" s="9" t="s">
        <v>53</v>
      </c>
      <c r="B82" s="25" t="s">
        <v>158</v>
      </c>
      <c r="C82" s="26">
        <f>HstHT+QlabHT+QmatHT+MortarHT+MasonryHT+HeatingHT</f>
        <v>15</v>
      </c>
      <c r="D82" s="12"/>
    </row>
    <row r="83" spans="1:4" ht="12.75">
      <c r="A83" s="9" t="s">
        <v>56</v>
      </c>
      <c r="B83" s="25" t="s">
        <v>159</v>
      </c>
      <c r="C83" s="26">
        <f>HseDR*QlabDR*QmatDR*MortarDR*MasonryDR*HeatingDR</f>
        <v>48</v>
      </c>
      <c r="D83" s="12"/>
    </row>
    <row r="84" spans="1:4" ht="12.75">
      <c r="A84" s="9" t="s">
        <v>59</v>
      </c>
      <c r="B84" s="25" t="s">
        <v>160</v>
      </c>
      <c r="C84" s="24">
        <f>MAX(HseTL,MortarTL,MasonryTL,HeatingTL,TilingTL)</f>
        <v>4</v>
      </c>
      <c r="D84" s="12"/>
    </row>
    <row r="85" spans="1:4" ht="12.75">
      <c r="A85" s="27" t="s">
        <v>61</v>
      </c>
      <c r="B85" s="28" t="s">
        <v>161</v>
      </c>
      <c r="C85" s="29">
        <f>FinalHseCost/(0.55*900)*INDEX(Materials!F2:F100,MATCH(HseMat,Materials!A2:A100,0))</f>
        <v>3.830635054545454</v>
      </c>
      <c r="D85" s="30" t="s">
        <v>63</v>
      </c>
    </row>
  </sheetData>
  <sheetProtection selectLockedCells="1" selectUnlockedCells="1"/>
  <dataValidations count="10">
    <dataValidation errorStyle="warning" operator="equal" allowBlank="1" showErrorMessage="1" errorTitle="Invalid material" error="Choose from the list, or add your own to sheet &quot;Materials&quot;." sqref="C39:C42 C44:C47 C49:C54 C56:D57 C58:C61 D62 C63:C68 C75">
      <formula1>Options!A9:A11</formula1>
    </dataValidation>
    <dataValidation errorStyle="warning" type="whole" showErrorMessage="1" errorTitle="Bad number" error="You can only tile between zero and your total number of floors!!" sqref="C70">
      <formula1>0</formula1>
      <formula2>FlrNo</formula2>
    </dataValidation>
    <dataValidation errorStyle="warning" type="list" operator="equal" allowBlank="1" showErrorMessage="1" errorTitle="Roof tiling" error="Either Yes or No!!" sqref="C71">
      <formula1>"Yes,No"</formula1>
    </dataValidation>
    <dataValidation errorStyle="warning" type="list" operator="equal" allowBlank="1" showErrorMessage="1" errorTitle="Wall tiling" error="Either Yes or No!!" sqref="C72">
      <formula1>"Yes,No"</formula1>
    </dataValidation>
    <dataValidation errorStyle="warning" type="list" operator="equal" allowBlank="1" showErrorMessage="1" errorTitle="Invalid material" error="Choose from the list, or add your own to sheet &quot;Materials&quot;." sqref="C55">
      <formula1>"Ordinary,Corbelled masonry,Cribwork,Embossing,Vaulted masonry,Gothic masonry"</formula1>
    </dataValidation>
    <dataValidation errorStyle="warning" type="list" operator="equal" allowBlank="1" showErrorMessage="1" errorTitle="Invalid material" error="Choose from the list, or add your own to sheet &quot;Materials&quot;." sqref="C25">
      <formula1>Materials!A2:A100</formula1>
    </dataValidation>
    <dataValidation errorStyle="warning" type="list" operator="equal" allowBlank="1" showErrorMessage="1" errorTitle="Invalid material" error="Choose from the list, or add your own to sheet &quot;Materials&quot;." sqref="C38">
      <formula1>Options!A2:A4</formula1>
    </dataValidation>
    <dataValidation errorStyle="warning" type="list" operator="equal" allowBlank="1" showErrorMessage="1" errorTitle="Invalid material" error="Choose from the list, or add your own to sheet &quot;Materials&quot;." sqref="C43">
      <formula1>Options!A7:A9</formula1>
    </dataValidation>
    <dataValidation errorStyle="warning" type="list" operator="equal" allowBlank="1" showErrorMessage="1" errorTitle="Invalid material" error="Choose from the list, or add your own to sheet &quot;Materials&quot;." sqref="C48">
      <formula1>Options!A12:A16</formula1>
    </dataValidation>
    <dataValidation errorStyle="warning" type="list" operator="equal" allowBlank="1" showErrorMessage="1" errorTitle="Invalid material" error="Choose from the list, or add your own to sheet &quot;Materials&quot;." sqref="C62">
      <formula1>Options!A30:A32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1"/>
  <headerFooter alignWithMargins="0">
    <oddHeader>&amp;C&amp;"Times New Roman,Normal"&amp;12&amp;A</oddHeader>
    <oddFooter>&amp;C&amp;"Times New Roman,Normal"&amp;12Page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showGridLines="0" view="pageBreakPreview" zoomScale="90" zoomScaleSheetLayoutView="9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7.28125" style="0" customWidth="1"/>
    <col min="3" max="3" width="3.7109375" style="0" customWidth="1"/>
    <col min="4" max="4" width="7.140625" style="0" customWidth="1"/>
    <col min="5" max="5" width="4.140625" style="0" customWidth="1"/>
    <col min="6" max="7" width="11.57421875" style="0" customWidth="1"/>
    <col min="8" max="8" width="6.140625" style="0" customWidth="1"/>
    <col min="9" max="9" width="17.00390625" style="0" customWidth="1"/>
    <col min="10" max="10" width="5.28125" style="0" customWidth="1"/>
    <col min="11" max="16384" width="11.57421875" style="0" customWidth="1"/>
  </cols>
  <sheetData>
    <row r="1" spans="1:10" ht="12.75">
      <c r="A1" s="44" t="s">
        <v>162</v>
      </c>
      <c r="B1" s="45" t="s">
        <v>163</v>
      </c>
      <c r="C1" s="45" t="s">
        <v>164</v>
      </c>
      <c r="D1" s="45" t="s">
        <v>165</v>
      </c>
      <c r="E1" s="45" t="s">
        <v>166</v>
      </c>
      <c r="F1" s="46" t="s">
        <v>167</v>
      </c>
      <c r="H1" s="44" t="s">
        <v>168</v>
      </c>
      <c r="I1" s="47" t="s">
        <v>169</v>
      </c>
      <c r="J1" s="8" t="s">
        <v>163</v>
      </c>
    </row>
    <row r="2" spans="1:10" ht="12.75">
      <c r="A2" s="9" t="s">
        <v>170</v>
      </c>
      <c r="B2" s="48">
        <v>0.85</v>
      </c>
      <c r="C2">
        <v>0</v>
      </c>
      <c r="D2" s="48">
        <v>3.75</v>
      </c>
      <c r="E2" s="49">
        <v>1</v>
      </c>
      <c r="F2" s="50">
        <v>0.1</v>
      </c>
      <c r="H2" s="9"/>
      <c r="I2">
        <v>1</v>
      </c>
      <c r="J2" s="51">
        <v>7.75</v>
      </c>
    </row>
    <row r="3" spans="1:10" ht="12.75">
      <c r="A3" s="9" t="s">
        <v>171</v>
      </c>
      <c r="B3" s="48">
        <v>3.82</v>
      </c>
      <c r="C3">
        <v>0</v>
      </c>
      <c r="D3" s="48">
        <v>14</v>
      </c>
      <c r="E3" s="49">
        <v>12</v>
      </c>
      <c r="F3" s="50">
        <v>0.05</v>
      </c>
      <c r="H3" s="9"/>
      <c r="I3">
        <v>2</v>
      </c>
      <c r="J3" s="51">
        <v>4.14</v>
      </c>
    </row>
    <row r="4" spans="1:10" ht="12.75">
      <c r="A4" s="9" t="s">
        <v>172</v>
      </c>
      <c r="B4" s="48">
        <v>0.74</v>
      </c>
      <c r="C4">
        <v>0</v>
      </c>
      <c r="D4" s="48">
        <v>1.3</v>
      </c>
      <c r="E4" s="49">
        <v>0.5</v>
      </c>
      <c r="F4" s="50">
        <v>0.3</v>
      </c>
      <c r="H4" s="9"/>
      <c r="I4">
        <v>3</v>
      </c>
      <c r="J4" s="51">
        <v>3.1</v>
      </c>
    </row>
    <row r="5" spans="1:10" ht="12.75">
      <c r="A5" s="9" t="s">
        <v>168</v>
      </c>
      <c r="B5" s="48" t="s">
        <v>173</v>
      </c>
      <c r="C5">
        <v>0</v>
      </c>
      <c r="D5" s="48">
        <v>2.67</v>
      </c>
      <c r="E5" s="49">
        <v>1</v>
      </c>
      <c r="F5" s="50">
        <v>0.2</v>
      </c>
      <c r="H5" s="9"/>
      <c r="I5">
        <v>4</v>
      </c>
      <c r="J5" s="51">
        <v>2.47</v>
      </c>
    </row>
    <row r="6" spans="1:10" ht="12.75">
      <c r="A6" s="9" t="s">
        <v>174</v>
      </c>
      <c r="B6" s="48">
        <v>11.72</v>
      </c>
      <c r="C6">
        <v>1</v>
      </c>
      <c r="D6" s="48">
        <v>15.5</v>
      </c>
      <c r="E6" s="49">
        <v>13</v>
      </c>
      <c r="F6" s="50">
        <v>0.01</v>
      </c>
      <c r="H6" s="9"/>
      <c r="I6">
        <v>5</v>
      </c>
      <c r="J6" s="51">
        <v>1.99</v>
      </c>
    </row>
    <row r="7" spans="1:10" ht="12.75">
      <c r="A7" s="9" t="s">
        <v>36</v>
      </c>
      <c r="B7" s="48">
        <v>3.34</v>
      </c>
      <c r="C7">
        <v>1</v>
      </c>
      <c r="D7" s="48">
        <v>7.7</v>
      </c>
      <c r="E7" s="49">
        <v>8</v>
      </c>
      <c r="F7" s="50">
        <v>0.02</v>
      </c>
      <c r="H7" s="9"/>
      <c r="I7">
        <v>6</v>
      </c>
      <c r="J7" s="51">
        <v>1.66</v>
      </c>
    </row>
    <row r="8" spans="1:10" ht="12.75">
      <c r="A8" s="27" t="s">
        <v>175</v>
      </c>
      <c r="B8" s="52">
        <v>9.98</v>
      </c>
      <c r="C8" s="53">
        <v>2</v>
      </c>
      <c r="D8" s="52">
        <v>15.5</v>
      </c>
      <c r="E8" s="53">
        <v>9</v>
      </c>
      <c r="F8" s="54">
        <v>0.05</v>
      </c>
      <c r="H8" s="9"/>
      <c r="I8">
        <v>7</v>
      </c>
      <c r="J8" s="51">
        <v>1.43</v>
      </c>
    </row>
    <row r="9" spans="8:10" ht="12.75">
      <c r="H9" s="27"/>
      <c r="I9" s="53">
        <v>8</v>
      </c>
      <c r="J9" s="55">
        <v>1.26</v>
      </c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="90" zoomScaleSheetLayoutView="90" workbookViewId="0" topLeftCell="A1">
      <selection activeCell="A1" sqref="A1"/>
    </sheetView>
  </sheetViews>
  <sheetFormatPr defaultColWidth="12.57421875" defaultRowHeight="12.75"/>
  <cols>
    <col min="1" max="1" width="25.421875" style="0" customWidth="1"/>
    <col min="2" max="5" width="11.00390625" style="0" customWidth="1"/>
    <col min="6" max="6" width="14.140625" style="0" customWidth="1"/>
    <col min="7" max="7" width="3.7109375" style="0" customWidth="1"/>
    <col min="8" max="8" width="65.00390625" style="0" customWidth="1"/>
    <col min="9" max="9" width="68.28125" style="0" customWidth="1"/>
    <col min="10" max="16384" width="11.57421875" style="0" customWidth="1"/>
  </cols>
  <sheetData>
    <row r="1" spans="1:5" ht="12.75">
      <c r="A1" s="44" t="s">
        <v>65</v>
      </c>
      <c r="B1" s="47" t="s">
        <v>176</v>
      </c>
      <c r="C1" s="47" t="s">
        <v>177</v>
      </c>
      <c r="D1" s="47" t="s">
        <v>178</v>
      </c>
      <c r="E1" s="8" t="s">
        <v>179</v>
      </c>
    </row>
    <row r="2" spans="1:5" ht="12.75">
      <c r="A2" s="9" t="s">
        <v>180</v>
      </c>
      <c r="B2">
        <v>-1</v>
      </c>
      <c r="C2" s="56">
        <v>0.95</v>
      </c>
      <c r="D2" s="56">
        <v>0.95</v>
      </c>
      <c r="E2" s="57">
        <v>-0.2</v>
      </c>
    </row>
    <row r="3" spans="1:5" ht="12.75">
      <c r="A3" s="9" t="s">
        <v>181</v>
      </c>
      <c r="B3">
        <v>0</v>
      </c>
      <c r="C3" s="56">
        <v>1</v>
      </c>
      <c r="D3" s="56">
        <v>1</v>
      </c>
      <c r="E3" s="57">
        <v>0</v>
      </c>
    </row>
    <row r="4" spans="1:5" ht="12.75">
      <c r="A4" s="27" t="s">
        <v>67</v>
      </c>
      <c r="B4" s="53">
        <v>1</v>
      </c>
      <c r="C4" s="58">
        <v>1</v>
      </c>
      <c r="D4" s="58">
        <v>1</v>
      </c>
      <c r="E4" s="59">
        <v>0.25</v>
      </c>
    </row>
    <row r="6" spans="1:5" ht="12.75">
      <c r="A6" s="44" t="s">
        <v>76</v>
      </c>
      <c r="B6" s="47" t="s">
        <v>176</v>
      </c>
      <c r="C6" s="47" t="s">
        <v>177</v>
      </c>
      <c r="D6" s="47" t="s">
        <v>178</v>
      </c>
      <c r="E6" s="8" t="s">
        <v>179</v>
      </c>
    </row>
    <row r="7" spans="1:5" ht="12.75">
      <c r="A7" s="9" t="s">
        <v>182</v>
      </c>
      <c r="B7">
        <v>-1</v>
      </c>
      <c r="C7" s="56">
        <v>0.95</v>
      </c>
      <c r="D7" s="56">
        <v>0.95</v>
      </c>
      <c r="E7" s="57">
        <v>-0.2</v>
      </c>
    </row>
    <row r="8" spans="1:5" ht="12.75">
      <c r="A8" s="9" t="s">
        <v>181</v>
      </c>
      <c r="B8">
        <v>0</v>
      </c>
      <c r="C8" s="56">
        <v>1</v>
      </c>
      <c r="D8" s="56">
        <v>1</v>
      </c>
      <c r="E8" s="57">
        <v>0</v>
      </c>
    </row>
    <row r="9" spans="1:5" ht="12.75">
      <c r="A9" s="27" t="s">
        <v>78</v>
      </c>
      <c r="B9" s="53">
        <v>1</v>
      </c>
      <c r="C9" s="58">
        <v>1</v>
      </c>
      <c r="D9" s="58">
        <v>1</v>
      </c>
      <c r="E9" s="59">
        <v>0.25</v>
      </c>
    </row>
    <row r="11" spans="1:7" ht="12.75">
      <c r="A11" s="44" t="s">
        <v>88</v>
      </c>
      <c r="B11" s="47" t="s">
        <v>176</v>
      </c>
      <c r="C11" s="47" t="s">
        <v>177</v>
      </c>
      <c r="D11" s="47" t="s">
        <v>178</v>
      </c>
      <c r="E11" s="47" t="s">
        <v>179</v>
      </c>
      <c r="F11" s="45" t="s">
        <v>183</v>
      </c>
      <c r="G11" s="46" t="s">
        <v>164</v>
      </c>
    </row>
    <row r="12" spans="1:7" ht="12.75">
      <c r="A12" s="9" t="s">
        <v>184</v>
      </c>
      <c r="B12">
        <v>0</v>
      </c>
      <c r="C12" s="56">
        <v>1</v>
      </c>
      <c r="D12" s="56">
        <v>0.95</v>
      </c>
      <c r="E12">
        <v>0</v>
      </c>
      <c r="F12" s="56">
        <v>1</v>
      </c>
      <c r="G12" s="12">
        <v>0</v>
      </c>
    </row>
    <row r="13" spans="1:7" ht="12.75">
      <c r="A13" s="9" t="s">
        <v>185</v>
      </c>
      <c r="B13">
        <v>0</v>
      </c>
      <c r="C13" s="56">
        <v>1</v>
      </c>
      <c r="D13" s="56">
        <v>0.95</v>
      </c>
      <c r="E13">
        <v>0</v>
      </c>
      <c r="F13" s="56">
        <v>1</v>
      </c>
      <c r="G13" s="12">
        <v>0</v>
      </c>
    </row>
    <row r="14" spans="1:7" ht="12.75">
      <c r="A14" s="9" t="s">
        <v>186</v>
      </c>
      <c r="B14">
        <v>0</v>
      </c>
      <c r="C14" s="56">
        <v>1</v>
      </c>
      <c r="D14" s="56">
        <v>0.98</v>
      </c>
      <c r="E14">
        <v>0</v>
      </c>
      <c r="F14" s="56">
        <v>1</v>
      </c>
      <c r="G14" s="12">
        <v>1</v>
      </c>
    </row>
    <row r="15" spans="1:7" ht="12.75">
      <c r="A15" s="9" t="s">
        <v>89</v>
      </c>
      <c r="B15">
        <v>0</v>
      </c>
      <c r="C15" s="56">
        <v>1</v>
      </c>
      <c r="D15" s="56">
        <v>1</v>
      </c>
      <c r="E15">
        <v>0</v>
      </c>
      <c r="F15" s="56">
        <v>1</v>
      </c>
      <c r="G15" s="12">
        <v>1</v>
      </c>
    </row>
    <row r="16" spans="1:7" ht="12.75">
      <c r="A16" s="27" t="s">
        <v>187</v>
      </c>
      <c r="B16" s="53">
        <v>0</v>
      </c>
      <c r="C16" s="58">
        <v>1</v>
      </c>
      <c r="D16" s="58">
        <v>1</v>
      </c>
      <c r="E16" s="53">
        <v>0</v>
      </c>
      <c r="F16" s="58">
        <v>1</v>
      </c>
      <c r="G16" s="30">
        <v>0</v>
      </c>
    </row>
    <row r="18" spans="1:9" ht="12.75">
      <c r="A18" s="44" t="s">
        <v>103</v>
      </c>
      <c r="B18" s="47" t="s">
        <v>176</v>
      </c>
      <c r="C18" s="47" t="s">
        <v>177</v>
      </c>
      <c r="D18" s="47" t="s">
        <v>178</v>
      </c>
      <c r="E18" s="47" t="s">
        <v>179</v>
      </c>
      <c r="F18" s="45" t="s">
        <v>183</v>
      </c>
      <c r="G18" s="45" t="s">
        <v>164</v>
      </c>
      <c r="H18" s="47" t="s">
        <v>188</v>
      </c>
      <c r="I18" s="8" t="s">
        <v>189</v>
      </c>
    </row>
    <row r="19" spans="1:9" ht="12.75">
      <c r="A19" s="9" t="s">
        <v>181</v>
      </c>
      <c r="B19">
        <v>0</v>
      </c>
      <c r="C19" s="56">
        <v>1</v>
      </c>
      <c r="D19" s="56">
        <v>1</v>
      </c>
      <c r="E19">
        <v>0</v>
      </c>
      <c r="F19" s="56">
        <v>1</v>
      </c>
      <c r="G19">
        <v>0</v>
      </c>
      <c r="H19" t="s">
        <v>190</v>
      </c>
      <c r="I19" s="12" t="s">
        <v>190</v>
      </c>
    </row>
    <row r="20" spans="1:9" ht="12.75">
      <c r="A20" s="9" t="s">
        <v>191</v>
      </c>
      <c r="B20">
        <v>-1</v>
      </c>
      <c r="C20" s="56">
        <v>1</v>
      </c>
      <c r="D20" s="56">
        <v>1</v>
      </c>
      <c r="E20">
        <v>0.2</v>
      </c>
      <c r="F20" s="56">
        <v>1.05</v>
      </c>
      <c r="G20">
        <v>1</v>
      </c>
      <c r="H20" t="s">
        <v>192</v>
      </c>
      <c r="I20" s="12" t="s">
        <v>193</v>
      </c>
    </row>
    <row r="21" spans="1:9" ht="12.75">
      <c r="A21" s="9" t="s">
        <v>194</v>
      </c>
      <c r="B21">
        <v>1</v>
      </c>
      <c r="C21" s="56">
        <v>1</v>
      </c>
      <c r="D21" s="56">
        <v>1</v>
      </c>
      <c r="E21">
        <v>0.1</v>
      </c>
      <c r="F21" s="56">
        <v>1.05</v>
      </c>
      <c r="G21">
        <v>1</v>
      </c>
      <c r="H21" t="s">
        <v>195</v>
      </c>
      <c r="I21" s="12" t="s">
        <v>196</v>
      </c>
    </row>
    <row r="22" spans="1:9" ht="12.75">
      <c r="A22" s="9" t="s">
        <v>197</v>
      </c>
      <c r="B22">
        <v>1</v>
      </c>
      <c r="C22" s="56">
        <v>1</v>
      </c>
      <c r="D22" s="56">
        <v>1</v>
      </c>
      <c r="E22">
        <v>0.1</v>
      </c>
      <c r="F22" s="56">
        <v>0.95</v>
      </c>
      <c r="G22">
        <v>1</v>
      </c>
      <c r="H22" t="s">
        <v>195</v>
      </c>
      <c r="I22" s="12" t="s">
        <v>196</v>
      </c>
    </row>
    <row r="23" spans="1:9" ht="12.75">
      <c r="A23" s="9" t="s">
        <v>198</v>
      </c>
      <c r="B23">
        <v>1</v>
      </c>
      <c r="C23" s="56">
        <v>1</v>
      </c>
      <c r="D23" s="56">
        <v>1</v>
      </c>
      <c r="E23">
        <v>0.1</v>
      </c>
      <c r="F23" s="56">
        <v>0.95</v>
      </c>
      <c r="G23">
        <v>1</v>
      </c>
      <c r="H23" t="s">
        <v>195</v>
      </c>
      <c r="I23" s="12" t="s">
        <v>196</v>
      </c>
    </row>
    <row r="24" spans="1:9" ht="12.75">
      <c r="A24" s="9" t="s">
        <v>199</v>
      </c>
      <c r="B24">
        <v>1</v>
      </c>
      <c r="C24" s="56">
        <v>1</v>
      </c>
      <c r="D24" s="56">
        <v>1</v>
      </c>
      <c r="E24">
        <v>0.1</v>
      </c>
      <c r="F24" s="56">
        <v>1.05</v>
      </c>
      <c r="G24">
        <v>1</v>
      </c>
      <c r="H24" t="s">
        <v>195</v>
      </c>
      <c r="I24" s="12" t="s">
        <v>196</v>
      </c>
    </row>
    <row r="25" spans="1:9" ht="12.75">
      <c r="A25" s="9" t="s">
        <v>200</v>
      </c>
      <c r="B25">
        <v>0</v>
      </c>
      <c r="C25" s="56">
        <v>1.05</v>
      </c>
      <c r="D25" s="56">
        <v>1</v>
      </c>
      <c r="E25">
        <v>0.1</v>
      </c>
      <c r="F25" s="56">
        <v>1</v>
      </c>
      <c r="G25">
        <v>2</v>
      </c>
      <c r="H25" t="s">
        <v>201</v>
      </c>
      <c r="I25" s="12" t="s">
        <v>202</v>
      </c>
    </row>
    <row r="26" spans="1:9" ht="12.75">
      <c r="A26" s="9" t="s">
        <v>203</v>
      </c>
      <c r="B26">
        <v>0</v>
      </c>
      <c r="C26" s="56">
        <v>1</v>
      </c>
      <c r="D26" s="56">
        <v>1</v>
      </c>
      <c r="E26">
        <v>0.15</v>
      </c>
      <c r="F26" s="56">
        <v>1.05</v>
      </c>
      <c r="G26">
        <v>2</v>
      </c>
      <c r="H26" t="s">
        <v>204</v>
      </c>
      <c r="I26" s="12" t="s">
        <v>193</v>
      </c>
    </row>
    <row r="27" spans="1:9" ht="12.75">
      <c r="A27" s="27" t="s">
        <v>205</v>
      </c>
      <c r="B27" s="53">
        <v>0</v>
      </c>
      <c r="C27" s="58">
        <v>1</v>
      </c>
      <c r="D27" s="58">
        <v>1</v>
      </c>
      <c r="E27" s="53">
        <v>0.5</v>
      </c>
      <c r="F27" s="58">
        <v>1</v>
      </c>
      <c r="G27" s="53">
        <v>3</v>
      </c>
      <c r="H27" s="53" t="s">
        <v>206</v>
      </c>
      <c r="I27" s="30" t="s">
        <v>207</v>
      </c>
    </row>
    <row r="28" spans="1:6" ht="12.75">
      <c r="A28" s="60"/>
      <c r="C28" s="56"/>
      <c r="D28" s="56"/>
      <c r="F28" s="56"/>
    </row>
    <row r="29" spans="1:8" ht="12.75">
      <c r="A29" s="44" t="s">
        <v>118</v>
      </c>
      <c r="B29" s="47" t="s">
        <v>176</v>
      </c>
      <c r="C29" s="47" t="s">
        <v>177</v>
      </c>
      <c r="D29" s="47" t="s">
        <v>178</v>
      </c>
      <c r="E29" s="47" t="s">
        <v>208</v>
      </c>
      <c r="F29" s="45" t="s">
        <v>183</v>
      </c>
      <c r="G29" s="47" t="s">
        <v>164</v>
      </c>
      <c r="H29" s="8" t="s">
        <v>209</v>
      </c>
    </row>
    <row r="30" spans="1:8" ht="12.75">
      <c r="A30" s="9" t="s">
        <v>184</v>
      </c>
      <c r="B30">
        <v>0</v>
      </c>
      <c r="C30" s="56">
        <v>1</v>
      </c>
      <c r="D30" s="56">
        <v>1</v>
      </c>
      <c r="E30" s="61">
        <v>0</v>
      </c>
      <c r="F30" s="56">
        <v>1</v>
      </c>
      <c r="G30">
        <v>0</v>
      </c>
      <c r="H30" s="12" t="s">
        <v>190</v>
      </c>
    </row>
    <row r="31" spans="1:8" ht="12.75">
      <c r="A31" s="9" t="s">
        <v>210</v>
      </c>
      <c r="B31">
        <v>0</v>
      </c>
      <c r="C31" s="56">
        <v>1</v>
      </c>
      <c r="D31" s="56">
        <v>1</v>
      </c>
      <c r="E31" s="61">
        <f>Calculator!C18*8</f>
        <v>4464</v>
      </c>
      <c r="F31" s="56">
        <v>1</v>
      </c>
      <c r="G31">
        <v>1</v>
      </c>
      <c r="H31" s="12" t="str">
        <f>"Underfloor heating; consumes "&amp;Calculator!C18/90&amp;" lb of charcoal per hour per 90 sq ft"</f>
        <v>Underfloor heating; consumes 6.2 lb of charcoal per hour per 90 sq ft</v>
      </c>
    </row>
    <row r="32" spans="1:8" ht="12.75">
      <c r="A32" s="27" t="s">
        <v>120</v>
      </c>
      <c r="B32" s="53">
        <v>0</v>
      </c>
      <c r="C32" s="58">
        <v>1</v>
      </c>
      <c r="D32" s="58">
        <v>1</v>
      </c>
      <c r="E32" s="62">
        <f>Calculator!C18*16</f>
        <v>8928</v>
      </c>
      <c r="F32" s="58">
        <v>1</v>
      </c>
      <c r="G32" s="53">
        <v>4</v>
      </c>
      <c r="H32" s="30" t="s">
        <v>211</v>
      </c>
    </row>
    <row r="34" ht="12.75">
      <c r="A34" s="63" t="s">
        <v>212</v>
      </c>
    </row>
    <row r="35" ht="12.75">
      <c r="A35" s="64" t="s">
        <v>213</v>
      </c>
    </row>
  </sheetData>
  <sheetProtection sheet="1"/>
  <conditionalFormatting sqref="B2:B4 B7:B9 B12:B16 B19:B27 B30:B32 E2:E4 E7:E9 E12:E16 E19:E27 E30:E32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C2:D4 C7:D9 C12:D16 C19:D27 C30:D32 F12:F16 F19:F27 F30:F32">
    <cfRule type="cellIs" priority="3" dxfId="0" operator="equal" stopIfTrue="1">
      <formula>1</formula>
    </cfRule>
    <cfRule type="cellIs" priority="4" dxfId="1" operator="notEqual" stopIfTrue="1">
      <formula>1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 </dc:creator>
  <cp:keywords/>
  <dc:description/>
  <cp:lastModifiedBy>cosmo </cp:lastModifiedBy>
  <dcterms:created xsi:type="dcterms:W3CDTF">2012-07-24T21:35:00Z</dcterms:created>
  <dcterms:modified xsi:type="dcterms:W3CDTF">2012-07-25T12:02:29Z</dcterms:modified>
  <cp:category/>
  <cp:version/>
  <cp:contentType/>
  <cp:contentStatus/>
  <cp:revision>309</cp:revision>
</cp:coreProperties>
</file>